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717" activeTab="0"/>
  </bookViews>
  <sheets>
    <sheet name="ГПприл6-ГЗ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'ГПприл6-ГЗ'!$A$1:$O$57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<sst xmlns="http://schemas.openxmlformats.org/spreadsheetml/2006/main" count="67" uniqueCount="46">
  <si>
    <t>2014 год</t>
  </si>
  <si>
    <t>2015 год</t>
  </si>
  <si>
    <t>2016 год</t>
  </si>
  <si>
    <t>Обеспечение деятельности подведомственных учреждений</t>
  </si>
  <si>
    <t>ДТиС</t>
  </si>
  <si>
    <t>2012 год</t>
  </si>
  <si>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</si>
  <si>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</si>
  <si>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</si>
  <si>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</si>
  <si>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</si>
  <si>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</si>
  <si>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</si>
  <si>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</si>
  <si>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</si>
  <si>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</si>
  <si>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Т.В. Веселина</t>
  </si>
  <si>
    <t>Первый заместитель министра культуры  Красноярского края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</si>
  <si>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</si>
  <si>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</si>
  <si>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</si>
  <si>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автономное учреждение культуры «Центр международных и региональных культурных связей»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</si>
  <si>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</si>
  <si>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автономное учреждение культуры Красноярский драматический театр                  им. А.С. Пушкина</t>
  </si>
  <si>
    <t>Краевое государственное автономное учреждение культуры Красноярский государственный театр оперы и балета</t>
  </si>
  <si>
    <t>Краевое государственное бюджетное учреждение культуры Канский драматический театр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</si>
  <si>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</si>
  <si>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</si>
  <si>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</si>
  <si>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учреждение «Красноярский музыкальный театр»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</si>
  <si>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</si>
  <si>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</si>
  <si>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Прогноз сводных показателей муниципальных заданий </t>
  </si>
  <si>
    <t xml:space="preserve">Наименование работы и ее содержание: Участие в проведении фестивалей,   выставок, смотров,  конкурсов,   конференций и иных  программных   мероприятий, в том числе в рамках международного сотрудничества  </t>
  </si>
  <si>
    <t>Наименование услуги и ее содержание:Организация и обеспечение  проведения массовых мероприятий силами учреждения</t>
  </si>
  <si>
    <t xml:space="preserve">Наименование работы и ее содержание: Организация досуга граждан и обеспечение развития художественного творчества </t>
  </si>
  <si>
    <t xml:space="preserve">Показатель объема работы: количество клубных- формирований в том числе для детей </t>
  </si>
  <si>
    <t>Расходы местного бюджета на оказание (выполнение) муниципальной услуги (работы), тыс. руб.</t>
  </si>
  <si>
    <r>
      <t>Показатель объема услуги: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количество культурно- досуговых мероприятий</t>
    </r>
  </si>
  <si>
    <r>
      <t>Показатель объема работы: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количество клубных- формирований в том числе для детей </t>
    </r>
  </si>
  <si>
    <r>
      <t>Показатель объема работы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количество выездов коллективов для участия в конкурсах, фестивалях </t>
    </r>
  </si>
  <si>
    <t>итог</t>
  </si>
  <si>
    <t>2017 год</t>
  </si>
  <si>
    <t xml:space="preserve">Приложение № 3
к муниципальной программе Салбинского сельсовета «Развитие культуры» </t>
  </si>
  <si>
    <t>2018 год</t>
  </si>
  <si>
    <t>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</si>
</sst>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justify" wrapText="1"/>
      <protection/>
    </xf>
    <xf numFmtId="0" fontId="5" fillId="24" borderId="10" xfId="52" applyFont="1" applyFill="1" applyBorder="1" applyAlignment="1">
      <alignment horizontal="right" vertical="top" wrapText="1"/>
      <protection/>
    </xf>
    <xf numFmtId="3" fontId="5" fillId="0" borderId="10" xfId="52" applyNumberFormat="1" applyFont="1" applyBorder="1" applyAlignment="1">
      <alignment vertical="top" wrapText="1"/>
      <protection/>
    </xf>
    <xf numFmtId="0" fontId="5" fillId="0" borderId="10" xfId="52" applyFont="1" applyFill="1" applyBorder="1" applyAlignment="1">
      <alignment horizontal="right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0" xfId="52" applyFont="1" applyFill="1" applyBorder="1" applyAlignment="1">
      <alignment vertical="top" wrapText="1"/>
      <protection/>
    </xf>
    <xf numFmtId="0" fontId="10" fillId="0" borderId="0" xfId="52" applyFont="1" applyFill="1" applyBorder="1" applyAlignment="1">
      <alignment horizontal="right" vertical="top" wrapText="1"/>
      <protection/>
    </xf>
    <xf numFmtId="0" fontId="9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vertical="top" wrapText="1"/>
      <protection/>
    </xf>
    <xf numFmtId="165" fontId="10" fillId="0" borderId="0" xfId="52" applyNumberFormat="1" applyFont="1" applyBorder="1" applyAlignment="1">
      <alignment vertical="top" wrapText="1"/>
      <protection/>
    </xf>
    <xf numFmtId="0" fontId="12" fillId="0" borderId="0" xfId="52" applyFont="1" applyAlignment="1">
      <alignment vertical="top" wrapText="1"/>
      <protection/>
    </xf>
    <xf numFmtId="2" fontId="12" fillId="0" borderId="0" xfId="52" applyNumberFormat="1" applyFont="1" applyAlignment="1">
      <alignment vertical="top" wrapText="1"/>
      <protection/>
    </xf>
    <xf numFmtId="165" fontId="12" fillId="0" borderId="0" xfId="52" applyNumberFormat="1" applyFont="1" applyAlignment="1">
      <alignment vertical="top" wrapText="1"/>
      <protection/>
    </xf>
    <xf numFmtId="0" fontId="5" fillId="25" borderId="10" xfId="52" applyFont="1" applyFill="1" applyBorder="1" applyAlignment="1">
      <alignment vertical="top" wrapText="1"/>
      <protection/>
    </xf>
    <xf numFmtId="165" fontId="10" fillId="0" borderId="0" xfId="52" applyNumberFormat="1" applyFont="1" applyFill="1" applyBorder="1" applyAlignment="1">
      <alignment horizontal="right" vertical="top" wrapText="1"/>
      <protection/>
    </xf>
    <xf numFmtId="165" fontId="5" fillId="0" borderId="0" xfId="52" applyNumberFormat="1" applyFont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165" fontId="5" fillId="0" borderId="10" xfId="52" applyNumberFormat="1" applyFont="1" applyBorder="1" applyAlignment="1">
      <alignment vertical="top" wrapText="1"/>
      <protection/>
    </xf>
    <xf numFmtId="165" fontId="5" fillId="0" borderId="10" xfId="52" applyNumberFormat="1" applyFont="1" applyFill="1" applyBorder="1" applyAlignment="1">
      <alignment horizontal="right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165" fontId="11" fillId="0" borderId="10" xfId="52" applyNumberFormat="1" applyFont="1" applyFill="1" applyBorder="1" applyAlignment="1">
      <alignment horizontal="right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164" fontId="5" fillId="0" borderId="10" xfId="52" applyNumberFormat="1" applyFont="1" applyBorder="1" applyAlignment="1">
      <alignment vertical="top" wrapText="1"/>
      <protection/>
    </xf>
    <xf numFmtId="164" fontId="5" fillId="0" borderId="10" xfId="52" applyNumberFormat="1" applyFont="1" applyFill="1" applyBorder="1" applyAlignment="1">
      <alignment vertical="top" wrapText="1"/>
      <protection/>
    </xf>
    <xf numFmtId="3" fontId="5" fillId="24" borderId="10" xfId="52" applyNumberFormat="1" applyFont="1" applyFill="1" applyBorder="1" applyAlignment="1">
      <alignment vertical="top" wrapText="1"/>
      <protection/>
    </xf>
    <xf numFmtId="3" fontId="5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justify" wrapText="1"/>
    </xf>
    <xf numFmtId="1" fontId="5" fillId="0" borderId="10" xfId="52" applyNumberFormat="1" applyFont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vertical="top" wrapText="1"/>
      <protection/>
    </xf>
    <xf numFmtId="0" fontId="16" fillId="0" borderId="10" xfId="0" applyFont="1" applyFill="1" applyBorder="1" applyAlignment="1">
      <alignment vertical="top" wrapText="1"/>
    </xf>
    <xf numFmtId="0" fontId="17" fillId="0" borderId="10" xfId="52" applyFont="1" applyFill="1" applyBorder="1" applyAlignment="1">
      <alignment vertical="top" wrapText="1"/>
      <protection/>
    </xf>
    <xf numFmtId="4" fontId="5" fillId="0" borderId="0" xfId="52" applyNumberFormat="1" applyFont="1" applyAlignment="1">
      <alignment vertical="top" wrapText="1"/>
      <protection/>
    </xf>
    <xf numFmtId="4" fontId="9" fillId="0" borderId="10" xfId="52" applyNumberFormat="1" applyFont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2" fillId="0" borderId="0" xfId="59" applyFont="1" applyFill="1" applyAlignment="1">
      <alignment horizontal="left" vertical="top" wrapText="1"/>
      <protection/>
    </xf>
    <xf numFmtId="0" fontId="8" fillId="0" borderId="10" xfId="52" applyFont="1" applyBorder="1" applyAlignment="1">
      <alignment horizontal="left"/>
      <protection/>
    </xf>
    <xf numFmtId="0" fontId="8" fillId="0" borderId="10" xfId="52" applyFont="1" applyBorder="1" applyAlignment="1">
      <alignment horizontal="left" wrapText="1"/>
      <protection/>
    </xf>
    <xf numFmtId="0" fontId="5" fillId="0" borderId="0" xfId="52" applyFont="1" applyAlignment="1">
      <alignment horizontal="center" vertical="center" textRotation="90" wrapText="1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0;&#1095;&#1077;&#1090;%20&#1079;&#1072;%20&#1075;&#1086;&#1076;%20&#1087;&#1086;%20&#1087;&#1086;&#1082;&#1072;&#1079;&#1072;&#1090;&#1077;&#1083;&#1103;&#1084;%20&#1082;%201%20&#1084;&#1072;&#1088;&#1090;&#107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%20&#1050;&#1054;&#1056;&#1056;&#1045;&#1050;&#1058;&#1048;&#1056;&#1054;&#1042;&#1050;&#1040;%20-%20&#1052;&#1040;&#1056;&#1058;%202013%20&#1043;&#1054;&#1044;&#1040;-&#1044;&#1054;&#1052;\1.%20&#1055;&#1045;&#1056;&#1045;&#1056;&#1040;&#1057;&#1055;&#1056;&#1045;&#1044;&#1045;&#1051;&#1045;&#1053;&#1048;&#1045;-02.04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0">
        <row r="10">
          <cell r="E10">
            <v>1561195.0000000002</v>
          </cell>
          <cell r="F10">
            <v>1630454.1999999997</v>
          </cell>
          <cell r="G10">
            <v>1628857.5999999996</v>
          </cell>
        </row>
        <row r="11">
          <cell r="E11">
            <v>449160.80000000005</v>
          </cell>
          <cell r="F11">
            <v>467944.1</v>
          </cell>
          <cell r="G11">
            <v>467944.1</v>
          </cell>
        </row>
        <row r="18">
          <cell r="E18">
            <v>186937.3</v>
          </cell>
          <cell r="F18">
            <v>193776.6</v>
          </cell>
          <cell r="G18">
            <v>193776.6</v>
          </cell>
        </row>
        <row r="25">
          <cell r="E25">
            <v>298688.5</v>
          </cell>
          <cell r="F25">
            <v>314851.5</v>
          </cell>
          <cell r="G25">
            <v>313254.89999999997</v>
          </cell>
        </row>
        <row r="31">
          <cell r="E31">
            <v>81040.29999999999</v>
          </cell>
          <cell r="F31">
            <v>84289.9</v>
          </cell>
          <cell r="G31">
            <v>84289.9</v>
          </cell>
        </row>
        <row r="35">
          <cell r="E35">
            <v>545368.1000000001</v>
          </cell>
          <cell r="F35">
            <v>569592.1</v>
          </cell>
          <cell r="G35">
            <v>569592.1</v>
          </cell>
        </row>
        <row r="41">
          <cell r="E41">
            <v>830168.4</v>
          </cell>
          <cell r="F41">
            <v>803775.3</v>
          </cell>
          <cell r="G41">
            <v>850118.8</v>
          </cell>
        </row>
        <row r="42">
          <cell r="E42">
            <v>25368.6</v>
          </cell>
          <cell r="F42">
            <v>26183.499999999996</v>
          </cell>
          <cell r="G42">
            <v>24043.499999999996</v>
          </cell>
        </row>
        <row r="44">
          <cell r="E44">
            <v>148591.1</v>
          </cell>
          <cell r="F44">
            <v>96517.6</v>
          </cell>
          <cell r="G44">
            <v>145001.1</v>
          </cell>
        </row>
        <row r="47">
          <cell r="E47">
            <v>125509.19999999998</v>
          </cell>
          <cell r="F47">
            <v>129950.1</v>
          </cell>
          <cell r="G47">
            <v>129950.1</v>
          </cell>
        </row>
        <row r="49">
          <cell r="E49">
            <v>530699.5</v>
          </cell>
          <cell r="F49">
            <v>551124.1</v>
          </cell>
          <cell r="G49">
            <v>551124.1</v>
          </cell>
        </row>
      </sheetData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  <row r="81">
          <cell r="N81">
            <v>343578.5</v>
          </cell>
          <cell r="Q81">
            <v>403331.4</v>
          </cell>
          <cell r="T81">
            <v>401734.5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ЮДЖЕТНЫЕ"/>
      <sheetName val="СВОД АВТОНОМНЫЕ"/>
      <sheetName val="ТЗУ автон"/>
      <sheetName val="ТЗУ бюджетные"/>
      <sheetName val="Филармония"/>
      <sheetName val="Библиотеки авто "/>
      <sheetName val="Библиотеки бюдж"/>
      <sheetName val="музеи"/>
      <sheetName val="образование"/>
      <sheetName val="доп образ авто"/>
      <sheetName val="кинограф"/>
      <sheetName val="дома бюджет"/>
      <sheetName val="дома авто"/>
      <sheetName val="шаблон"/>
      <sheetName val="Филармония (2)"/>
      <sheetName val="Отчет по субсидии"/>
    </sheetNames>
    <sheetDataSet>
      <sheetData sheetId="11">
        <row r="7">
          <cell r="E7">
            <v>53</v>
          </cell>
        </row>
        <row r="8">
          <cell r="E8">
            <v>200</v>
          </cell>
        </row>
        <row r="9">
          <cell r="E9">
            <v>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зм.росписи"/>
      <sheetName val="29,0 по учрежд."/>
      <sheetName val="кому-что "/>
      <sheetName val="САПФИР -02.03."/>
      <sheetName val="изм.росписи (для отправки в МФ)"/>
    </sheetNames>
    <sheetDataSet>
      <sheetData sheetId="4">
        <row r="8">
          <cell r="F8">
            <v>371920.19999999995</v>
          </cell>
        </row>
        <row r="15">
          <cell r="F15">
            <v>21988.6</v>
          </cell>
        </row>
        <row r="23">
          <cell r="F23">
            <v>96363.59999999999</v>
          </cell>
        </row>
        <row r="25">
          <cell r="F25">
            <v>118798.3</v>
          </cell>
        </row>
        <row r="27">
          <cell r="F27">
            <v>243971.4</v>
          </cell>
        </row>
        <row r="29">
          <cell r="F29">
            <v>106379.2</v>
          </cell>
        </row>
        <row r="32">
          <cell r="F32">
            <v>445841.19999999995</v>
          </cell>
        </row>
        <row r="35">
          <cell r="F35">
            <v>424694</v>
          </cell>
        </row>
        <row r="60">
          <cell r="F60">
            <v>24284.600000000002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D64"/>
  <sheetViews>
    <sheetView tabSelected="1" view="pageBreakPreview" zoomScale="70" zoomScaleNormal="85" zoomScaleSheetLayoutView="70" zoomScalePageLayoutView="0" workbookViewId="0" topLeftCell="A1">
      <selection activeCell="K68" sqref="K68"/>
    </sheetView>
  </sheetViews>
  <sheetFormatPr defaultColWidth="9.00390625" defaultRowHeight="12.75" outlineLevelRow="1"/>
  <cols>
    <col min="1" max="1" width="46.125" style="40" customWidth="1"/>
    <col min="2" max="7" width="11.125" style="6" customWidth="1"/>
    <col min="8" max="8" width="10.75390625" style="6" customWidth="1"/>
    <col min="9" max="10" width="13.375" style="6" customWidth="1"/>
    <col min="11" max="11" width="9.75390625" style="6" customWidth="1"/>
    <col min="12" max="12" width="10.00390625" style="6" customWidth="1"/>
    <col min="13" max="13" width="10.625" style="6" customWidth="1"/>
    <col min="14" max="14" width="9.375" style="6" customWidth="1"/>
    <col min="15" max="15" width="9.125" style="6" customWidth="1"/>
    <col min="16" max="16" width="15.625" style="6" hidden="1" customWidth="1"/>
    <col min="17" max="17" width="17.625" style="6" hidden="1" customWidth="1"/>
    <col min="18" max="18" width="14.25390625" style="6" hidden="1" customWidth="1"/>
    <col min="19" max="19" width="13.125" style="6" hidden="1" customWidth="1"/>
    <col min="20" max="20" width="10.125" style="6" hidden="1" customWidth="1"/>
    <col min="21" max="21" width="11.25390625" style="6" hidden="1" customWidth="1"/>
    <col min="22" max="22" width="12.875" style="6" hidden="1" customWidth="1"/>
    <col min="23" max="23" width="10.125" style="6" hidden="1" customWidth="1"/>
    <col min="24" max="27" width="0" style="6" hidden="1" customWidth="1"/>
    <col min="28" max="16384" width="9.125" style="6" customWidth="1"/>
  </cols>
  <sheetData>
    <row r="1" spans="1:14" s="5" customFormat="1" ht="62.25" customHeight="1">
      <c r="A1" s="39"/>
      <c r="G1" s="52" t="s">
        <v>43</v>
      </c>
      <c r="H1" s="52"/>
      <c r="I1" s="52"/>
      <c r="J1" s="52"/>
      <c r="K1" s="52"/>
      <c r="L1" s="47"/>
      <c r="M1" s="47"/>
      <c r="N1" s="47"/>
    </row>
    <row r="2" spans="1:15" ht="39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spans="1:15" s="7" customFormat="1" ht="57" customHeight="1">
      <c r="A4" s="54" t="s">
        <v>31</v>
      </c>
      <c r="B4" s="55" t="s">
        <v>30</v>
      </c>
      <c r="C4" s="55"/>
      <c r="D4" s="55"/>
      <c r="E4" s="55"/>
      <c r="F4" s="55"/>
      <c r="G4" s="55"/>
      <c r="H4" s="55" t="s">
        <v>37</v>
      </c>
      <c r="I4" s="55"/>
      <c r="J4" s="55"/>
      <c r="K4" s="55"/>
      <c r="L4" s="55"/>
      <c r="M4" s="55"/>
      <c r="N4" s="55"/>
      <c r="O4" s="55"/>
    </row>
    <row r="5" spans="1:15" ht="37.5">
      <c r="A5" s="54"/>
      <c r="B5" s="26" t="s">
        <v>5</v>
      </c>
      <c r="C5" s="26" t="s">
        <v>6</v>
      </c>
      <c r="D5" s="26" t="s">
        <v>0</v>
      </c>
      <c r="E5" s="26" t="s">
        <v>1</v>
      </c>
      <c r="F5" s="26" t="s">
        <v>2</v>
      </c>
      <c r="G5" s="26" t="s">
        <v>42</v>
      </c>
      <c r="H5" s="26" t="s">
        <v>5</v>
      </c>
      <c r="I5" s="26" t="s">
        <v>6</v>
      </c>
      <c r="J5" s="26" t="s">
        <v>0</v>
      </c>
      <c r="K5" s="26" t="s">
        <v>1</v>
      </c>
      <c r="L5" s="26" t="s">
        <v>2</v>
      </c>
      <c r="M5" s="26" t="s">
        <v>42</v>
      </c>
      <c r="N5" s="26" t="s">
        <v>44</v>
      </c>
      <c r="O5" s="26" t="s">
        <v>45</v>
      </c>
    </row>
    <row r="6" spans="1:19" s="20" customFormat="1" ht="18.75" hidden="1" outlineLevel="1">
      <c r="A6" s="9" t="s">
        <v>7</v>
      </c>
      <c r="B6" s="8">
        <f>306834</f>
        <v>306834</v>
      </c>
      <c r="C6" s="9">
        <f>311000</f>
        <v>311000</v>
      </c>
      <c r="D6" s="9">
        <v>311000</v>
      </c>
      <c r="E6" s="9">
        <v>311000</v>
      </c>
      <c r="F6" s="9"/>
      <c r="G6" s="8">
        <f>E6</f>
        <v>311000</v>
      </c>
      <c r="H6" s="8">
        <f>44336.6</f>
        <v>44336.6</v>
      </c>
      <c r="I6" s="28">
        <v>63645.2</v>
      </c>
      <c r="J6" s="13">
        <f>61280.2+9557</f>
        <v>70837.2</v>
      </c>
      <c r="K6" s="13">
        <f>62858.9+12321.2</f>
        <v>75180.1</v>
      </c>
      <c r="L6" s="13"/>
      <c r="M6" s="13"/>
      <c r="N6" s="13"/>
      <c r="O6" s="8">
        <f>62858.9+12321.2</f>
        <v>75180.1</v>
      </c>
      <c r="Q6" s="20" t="e">
        <f>10869.9+#REF!+#REF!</f>
        <v>#REF!</v>
      </c>
      <c r="R6" s="22" t="e">
        <f>13640.4+#REF!+#REF!</f>
        <v>#REF!</v>
      </c>
      <c r="S6" s="20" t="e">
        <f>13640.4+#REF!+#REF!</f>
        <v>#REF!</v>
      </c>
    </row>
    <row r="7" spans="1:19" s="20" customFormat="1" ht="18.75" hidden="1" outlineLevel="1">
      <c r="A7" s="9" t="s">
        <v>8</v>
      </c>
      <c r="B7" s="8">
        <f>321437</f>
        <v>321437</v>
      </c>
      <c r="C7" s="9">
        <f>304828</f>
        <v>304828</v>
      </c>
      <c r="D7" s="9">
        <f>304830</f>
        <v>304830</v>
      </c>
      <c r="E7" s="9">
        <f>304830</f>
        <v>304830</v>
      </c>
      <c r="F7" s="9"/>
      <c r="G7" s="8">
        <f>E7</f>
        <v>304830</v>
      </c>
      <c r="H7" s="8">
        <f>44336.6+55573.2</f>
        <v>99909.79999999999</v>
      </c>
      <c r="I7" s="13">
        <v>45350.3</v>
      </c>
      <c r="J7" s="13">
        <f>48529.1+9667.8</f>
        <v>58196.899999999994</v>
      </c>
      <c r="K7" s="13">
        <f>49182+11977.2</f>
        <v>61159.2</v>
      </c>
      <c r="L7" s="13"/>
      <c r="M7" s="13"/>
      <c r="N7" s="13"/>
      <c r="O7" s="8">
        <f>K7</f>
        <v>61159.2</v>
      </c>
      <c r="Q7" s="20" t="e">
        <f>'[13]индексация'!E29+#REF!</f>
        <v>#REF!</v>
      </c>
      <c r="R7" s="20" t="e">
        <f>'[13]индексация'!F29+#REF!</f>
        <v>#REF!</v>
      </c>
      <c r="S7" s="20" t="e">
        <f>'[13]индексация'!G29+#REF!</f>
        <v>#REF!</v>
      </c>
    </row>
    <row r="8" spans="1:19" ht="45.75" customHeight="1" hidden="1" outlineLevel="1">
      <c r="A8" s="10" t="s">
        <v>9</v>
      </c>
      <c r="B8" s="8">
        <f>'[14]музеи'!$E$135</f>
        <v>250970</v>
      </c>
      <c r="C8" s="9">
        <v>251000</v>
      </c>
      <c r="D8" s="29">
        <v>253.4</v>
      </c>
      <c r="E8" s="30">
        <v>258.5</v>
      </c>
      <c r="F8" s="30"/>
      <c r="G8" s="30">
        <v>261.1</v>
      </c>
      <c r="H8" s="8"/>
      <c r="I8" s="13"/>
      <c r="J8" s="11"/>
      <c r="K8" s="11"/>
      <c r="L8" s="11"/>
      <c r="M8" s="11"/>
      <c r="N8" s="11"/>
      <c r="O8" s="8"/>
      <c r="Q8" s="20">
        <v>-5688.299999999999</v>
      </c>
      <c r="R8" s="20">
        <v>-6088.299999999999</v>
      </c>
      <c r="S8" s="20">
        <v>-7684.9</v>
      </c>
    </row>
    <row r="9" spans="1:15" ht="30.75" customHeight="1" hidden="1" outlineLevel="1">
      <c r="A9" s="10" t="s">
        <v>10</v>
      </c>
      <c r="B9" s="8">
        <v>21461</v>
      </c>
      <c r="C9" s="9">
        <v>16500</v>
      </c>
      <c r="D9" s="31">
        <v>21.7</v>
      </c>
      <c r="E9" s="30">
        <v>22.1</v>
      </c>
      <c r="F9" s="30"/>
      <c r="G9" s="30">
        <v>22.3</v>
      </c>
      <c r="H9" s="8"/>
      <c r="I9" s="13"/>
      <c r="J9" s="11"/>
      <c r="K9" s="11"/>
      <c r="L9" s="11"/>
      <c r="M9" s="11"/>
      <c r="N9" s="11"/>
      <c r="O9" s="8"/>
    </row>
    <row r="10" spans="1:15" ht="45" hidden="1" outlineLevel="1">
      <c r="A10" s="10" t="s">
        <v>11</v>
      </c>
      <c r="B10" s="8">
        <v>298000</v>
      </c>
      <c r="C10" s="9">
        <f>300000-17000</f>
        <v>283000</v>
      </c>
      <c r="D10" s="29">
        <v>302.94</v>
      </c>
      <c r="E10" s="30">
        <v>309</v>
      </c>
      <c r="F10" s="30"/>
      <c r="G10" s="30">
        <v>312.1</v>
      </c>
      <c r="H10" s="8"/>
      <c r="I10" s="13"/>
      <c r="J10" s="11"/>
      <c r="K10" s="11"/>
      <c r="L10" s="11"/>
      <c r="M10" s="11"/>
      <c r="N10" s="11"/>
      <c r="O10" s="8"/>
    </row>
    <row r="11" spans="1:15" ht="45" hidden="1" outlineLevel="1">
      <c r="A11" s="10" t="s">
        <v>12</v>
      </c>
      <c r="B11" s="8">
        <v>300100</v>
      </c>
      <c r="C11" s="9">
        <v>300200</v>
      </c>
      <c r="D11" s="29">
        <v>327.8</v>
      </c>
      <c r="E11" s="30">
        <v>334.4</v>
      </c>
      <c r="F11" s="30"/>
      <c r="G11" s="30">
        <v>337.7</v>
      </c>
      <c r="H11" s="8"/>
      <c r="I11" s="13"/>
      <c r="J11" s="11"/>
      <c r="K11" s="11"/>
      <c r="L11" s="11"/>
      <c r="M11" s="11"/>
      <c r="N11" s="11"/>
      <c r="O11" s="8"/>
    </row>
    <row r="12" spans="1:15" ht="45" hidden="1" outlineLevel="1">
      <c r="A12" s="10" t="s">
        <v>13</v>
      </c>
      <c r="B12" s="8">
        <v>22432</v>
      </c>
      <c r="C12" s="9">
        <v>21900</v>
      </c>
      <c r="D12" s="29">
        <v>22.4</v>
      </c>
      <c r="E12" s="30">
        <v>22.8</v>
      </c>
      <c r="F12" s="30"/>
      <c r="G12" s="30">
        <v>23</v>
      </c>
      <c r="H12" s="8"/>
      <c r="I12" s="13"/>
      <c r="J12" s="11"/>
      <c r="K12" s="11"/>
      <c r="L12" s="11"/>
      <c r="M12" s="11"/>
      <c r="N12" s="11"/>
      <c r="O12" s="8"/>
    </row>
    <row r="13" spans="1:30" ht="18.75" customHeight="1" hidden="1" outlineLevel="1">
      <c r="A13" s="9" t="s">
        <v>7</v>
      </c>
      <c r="B13" s="12">
        <v>499884</v>
      </c>
      <c r="C13" s="12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3" s="34">
        <v>501470</v>
      </c>
      <c r="E13" s="34">
        <v>513413</v>
      </c>
      <c r="F13" s="34"/>
      <c r="G13" s="34">
        <v>520713</v>
      </c>
      <c r="H13" s="32">
        <v>359205.9</v>
      </c>
      <c r="I13" s="33">
        <v>404618.4</v>
      </c>
      <c r="J13" s="32">
        <f>376402.4+61431.8</f>
        <v>437834.2</v>
      </c>
      <c r="K13" s="32">
        <f>380458.8+76201.5</f>
        <v>456660.3</v>
      </c>
      <c r="L13" s="32"/>
      <c r="M13" s="32"/>
      <c r="N13" s="32"/>
      <c r="O13" s="32">
        <f>K13</f>
        <v>456660.3</v>
      </c>
      <c r="P13" s="20" t="s">
        <v>14</v>
      </c>
      <c r="Q13" s="20">
        <f>'[13]индексация'!E47+'[13]индексация'!T47+Q39</f>
        <v>60695.20000000001</v>
      </c>
      <c r="R13" s="20">
        <f>'[13]индексация'!F47+'[13]индексация'!U47+R39</f>
        <v>75426.99999999999</v>
      </c>
      <c r="S13" s="20">
        <f>'[13]индексация'!G47+'[13]индексация'!V47-774.5</f>
        <v>75426.99999999999</v>
      </c>
      <c r="AD13" s="51"/>
    </row>
    <row r="14" spans="1:30" ht="18.75" customHeight="1" hidden="1" outlineLevel="1">
      <c r="A14" s="9" t="s">
        <v>8</v>
      </c>
      <c r="B14" s="12">
        <v>265234</v>
      </c>
      <c r="C14" s="12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4" s="34">
        <v>260200</v>
      </c>
      <c r="E14" s="34">
        <v>258361</v>
      </c>
      <c r="F14" s="34"/>
      <c r="G14" s="34">
        <v>258811</v>
      </c>
      <c r="H14" s="32">
        <v>123882.5</v>
      </c>
      <c r="I14" s="33">
        <v>160305.9</v>
      </c>
      <c r="J14" s="32">
        <f>122611.7+Q14</f>
        <v>150225.6</v>
      </c>
      <c r="K14" s="32">
        <f>124013.8+R14</f>
        <v>159113.8</v>
      </c>
      <c r="L14" s="32"/>
      <c r="M14" s="32"/>
      <c r="N14" s="32"/>
      <c r="O14" s="32">
        <f>K14</f>
        <v>159113.8</v>
      </c>
      <c r="P14" s="20" t="s">
        <v>14</v>
      </c>
      <c r="Q14" s="20">
        <f>28882.8-1294.6-Q40</f>
        <v>27613.9</v>
      </c>
      <c r="R14" s="20">
        <f>36249.7-1177.5-R40</f>
        <v>35100</v>
      </c>
      <c r="S14" s="20">
        <f>36249.7-1177.5-S40</f>
        <v>35100</v>
      </c>
      <c r="AD14" s="51"/>
    </row>
    <row r="15" spans="1:30" ht="18.75" collapsed="1">
      <c r="A15" s="49" t="s">
        <v>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AD15" s="51"/>
    </row>
    <row r="16" spans="1:30" ht="39" customHeight="1">
      <c r="A16" s="41" t="s">
        <v>38</v>
      </c>
      <c r="B16" s="12">
        <v>201</v>
      </c>
      <c r="C16" s="12">
        <v>202</v>
      </c>
      <c r="D16" s="12">
        <v>203</v>
      </c>
      <c r="E16" s="12">
        <v>203</v>
      </c>
      <c r="F16" s="12">
        <v>203</v>
      </c>
      <c r="G16" s="12">
        <v>204</v>
      </c>
      <c r="H16" s="44">
        <v>820.6</v>
      </c>
      <c r="I16" s="44">
        <v>1059.9</v>
      </c>
      <c r="J16" s="44">
        <v>1103</v>
      </c>
      <c r="K16" s="44">
        <v>999.8</v>
      </c>
      <c r="L16" s="44">
        <v>1030.8</v>
      </c>
      <c r="M16" s="44">
        <v>1052.5</v>
      </c>
      <c r="N16" s="44">
        <v>790.1</v>
      </c>
      <c r="O16" s="44">
        <v>948.3</v>
      </c>
      <c r="AD16" s="51"/>
    </row>
    <row r="17" spans="1:30" ht="37.5" customHeight="1" hidden="1" outlineLevel="1">
      <c r="A17" s="2" t="s">
        <v>3</v>
      </c>
      <c r="B17" s="12">
        <v>312758</v>
      </c>
      <c r="C17" s="12">
        <f>'[16]прил. 1 2013-2015 (в прик.(уто)'!$D$21</f>
        <v>290000</v>
      </c>
      <c r="D17" s="34">
        <v>293600</v>
      </c>
      <c r="E17" s="34">
        <v>299600</v>
      </c>
      <c r="F17" s="34"/>
      <c r="G17" s="34">
        <v>302600</v>
      </c>
      <c r="H17" s="32">
        <v>221986.6</v>
      </c>
      <c r="I17" s="32">
        <v>248804.7</v>
      </c>
      <c r="J17" s="32">
        <f>241738.4+36730.3-952.2</f>
        <v>277516.5</v>
      </c>
      <c r="K17" s="32">
        <f>246065.8+45061.4-952.2</f>
        <v>290175</v>
      </c>
      <c r="L17" s="32"/>
      <c r="M17" s="32"/>
      <c r="N17" s="32"/>
      <c r="O17" s="32">
        <f>K17</f>
        <v>290175</v>
      </c>
      <c r="P17" s="20" t="s">
        <v>15</v>
      </c>
      <c r="Q17" s="20">
        <v>36730.3</v>
      </c>
      <c r="R17" s="20">
        <v>45061.4</v>
      </c>
      <c r="S17" s="20">
        <v>45061.4</v>
      </c>
      <c r="T17" s="20">
        <v>952.1999999999999</v>
      </c>
      <c r="U17" s="20">
        <v>952.1999999999999</v>
      </c>
      <c r="V17" s="20">
        <v>952.1999999999999</v>
      </c>
      <c r="AD17" s="51"/>
    </row>
    <row r="18" spans="1:30" ht="31.5" customHeight="1" hidden="1" outlineLevel="1">
      <c r="A18" s="2" t="s">
        <v>3</v>
      </c>
      <c r="B18" s="12">
        <v>234070</v>
      </c>
      <c r="C18" s="12">
        <f>'[16]прил. 1 2013-2015 (в прик.(уто)'!$D$22</f>
        <v>235080</v>
      </c>
      <c r="D18" s="12">
        <f>'[16]прил. 1 2013-2015 (в прик.(уто)'!$G$22</f>
        <v>235500</v>
      </c>
      <c r="E18" s="12">
        <f>'[16]прил. 1 2013-2015 (в прик.(уто)'!$J$22</f>
        <v>235550</v>
      </c>
      <c r="F18" s="12"/>
      <c r="G18" s="12">
        <f>E18</f>
        <v>235550</v>
      </c>
      <c r="H18" s="32">
        <v>25264</v>
      </c>
      <c r="I18" s="32">
        <v>28015.4</v>
      </c>
      <c r="J18" s="32">
        <f>29315.5+4533.6</f>
        <v>33849.1</v>
      </c>
      <c r="K18" s="32">
        <f>29845.3+5535.2</f>
        <v>35380.5</v>
      </c>
      <c r="L18" s="32"/>
      <c r="M18" s="32"/>
      <c r="N18" s="32"/>
      <c r="O18" s="32">
        <f>K18</f>
        <v>35380.5</v>
      </c>
      <c r="P18" s="20" t="s">
        <v>4</v>
      </c>
      <c r="Q18" s="20">
        <v>4533.6</v>
      </c>
      <c r="R18" s="20">
        <v>5535.2</v>
      </c>
      <c r="S18" s="20">
        <v>5535.2</v>
      </c>
      <c r="T18" s="20"/>
      <c r="U18" s="20"/>
      <c r="V18" s="20"/>
      <c r="AD18" s="51"/>
    </row>
    <row r="19" spans="1:30" s="20" customFormat="1" ht="18.75" customHeight="1" hidden="1" outlineLevel="1">
      <c r="A19" s="9" t="s">
        <v>7</v>
      </c>
      <c r="B19" s="12">
        <f>3+2+6+3+9</f>
        <v>23</v>
      </c>
      <c r="C19" s="12">
        <f>2+3+3+3+2</f>
        <v>13</v>
      </c>
      <c r="D19" s="35">
        <f>2+1+2+2+1</f>
        <v>8</v>
      </c>
      <c r="E19" s="35">
        <f>2+1+2+2+1</f>
        <v>8</v>
      </c>
      <c r="F19" s="35"/>
      <c r="G19" s="35">
        <f>2+1+2+2+1</f>
        <v>8</v>
      </c>
      <c r="H19" s="33">
        <v>34781.2</v>
      </c>
      <c r="I19" s="33">
        <v>25392.6</v>
      </c>
      <c r="J19" s="32">
        <f>21924.6-3217.2</f>
        <v>18707.399999999998</v>
      </c>
      <c r="K19" s="32">
        <f>22025.8-3217.2</f>
        <v>18808.6</v>
      </c>
      <c r="L19" s="32"/>
      <c r="M19" s="32"/>
      <c r="N19" s="32"/>
      <c r="O19" s="32">
        <f>K19</f>
        <v>18808.6</v>
      </c>
      <c r="P19" s="20" t="s">
        <v>14</v>
      </c>
      <c r="Q19" s="20">
        <f>'[13]индексация'!T47</f>
        <v>-3217.2</v>
      </c>
      <c r="R19" s="20">
        <f>'[13]индексация'!U47</f>
        <v>-3217.2</v>
      </c>
      <c r="S19" s="20">
        <f>'[13]индексация'!V47</f>
        <v>-3217.2</v>
      </c>
      <c r="T19" s="20">
        <v>17831.5</v>
      </c>
      <c r="U19" s="20">
        <v>17831.5</v>
      </c>
      <c r="V19" s="20">
        <v>17831.5</v>
      </c>
      <c r="AD19" s="51"/>
    </row>
    <row r="20" spans="1:30" s="20" customFormat="1" ht="18.75" customHeight="1" hidden="1" outlineLevel="1">
      <c r="A20" s="9" t="s">
        <v>8</v>
      </c>
      <c r="B20" s="12">
        <f>3+8+8+1</f>
        <v>20</v>
      </c>
      <c r="C20" s="12">
        <f>3+7+7+1</f>
        <v>18</v>
      </c>
      <c r="D20" s="12">
        <f>3+3+3+2+2</f>
        <v>13</v>
      </c>
      <c r="E20" s="12">
        <f>3+3+3+2+2</f>
        <v>13</v>
      </c>
      <c r="F20" s="12"/>
      <c r="G20" s="12">
        <f>3+3+3+2+2</f>
        <v>13</v>
      </c>
      <c r="H20" s="33">
        <v>11111.7</v>
      </c>
      <c r="I20" s="33">
        <v>10120.7</v>
      </c>
      <c r="J20" s="32">
        <f>10592.1+2246.8</f>
        <v>12838.900000000001</v>
      </c>
      <c r="K20" s="32">
        <f>12981.5+2129.7</f>
        <v>15111.2</v>
      </c>
      <c r="L20" s="32"/>
      <c r="M20" s="32"/>
      <c r="N20" s="32"/>
      <c r="O20" s="32">
        <f>K20</f>
        <v>15111.2</v>
      </c>
      <c r="P20" s="20" t="s">
        <v>14</v>
      </c>
      <c r="Q20" s="20">
        <f>'[13]индексация'!T33</f>
        <v>2246.8</v>
      </c>
      <c r="R20" s="20">
        <f>'[13]индексация'!U33</f>
        <v>2129.6999999999994</v>
      </c>
      <c r="S20" s="20">
        <f>'[13]индексация'!V33</f>
        <v>2129.6999999999994</v>
      </c>
      <c r="T20" s="20">
        <v>10105.4</v>
      </c>
      <c r="U20" s="21" t="e">
        <f>#REF!-U19</f>
        <v>#REF!</v>
      </c>
      <c r="V20" s="21" t="e">
        <f>#REF!-V19</f>
        <v>#REF!</v>
      </c>
      <c r="AD20" s="51"/>
    </row>
    <row r="21" spans="1:30" ht="37.5" customHeight="1" hidden="1" outlineLevel="1">
      <c r="A21" s="9" t="s">
        <v>7</v>
      </c>
      <c r="B21" s="12">
        <f>58+28</f>
        <v>86</v>
      </c>
      <c r="C21" s="12">
        <v>48</v>
      </c>
      <c r="D21" s="35">
        <v>48</v>
      </c>
      <c r="E21" s="35">
        <v>48</v>
      </c>
      <c r="F21" s="35"/>
      <c r="G21" s="35">
        <v>48</v>
      </c>
      <c r="H21" s="33"/>
      <c r="I21" s="33"/>
      <c r="J21" s="32"/>
      <c r="K21" s="32"/>
      <c r="L21" s="32"/>
      <c r="M21" s="32"/>
      <c r="N21" s="32"/>
      <c r="O21" s="32"/>
      <c r="P21" s="20" t="s">
        <v>27</v>
      </c>
      <c r="AD21" s="51"/>
    </row>
    <row r="22" spans="1:30" ht="18.75" customHeight="1" hidden="1" outlineLevel="1">
      <c r="A22" s="9" t="s">
        <v>8</v>
      </c>
      <c r="B22" s="12"/>
      <c r="C22" s="12">
        <v>150</v>
      </c>
      <c r="D22" s="35">
        <v>150</v>
      </c>
      <c r="E22" s="35">
        <v>150</v>
      </c>
      <c r="F22" s="35"/>
      <c r="G22" s="35">
        <v>150</v>
      </c>
      <c r="H22" s="33">
        <v>7363.3</v>
      </c>
      <c r="I22" s="33">
        <v>12420.8</v>
      </c>
      <c r="J22" s="32">
        <v>13885</v>
      </c>
      <c r="K22" s="32">
        <v>14203.8</v>
      </c>
      <c r="L22" s="32"/>
      <c r="M22" s="32"/>
      <c r="N22" s="32"/>
      <c r="O22" s="32">
        <f>K22</f>
        <v>14203.8</v>
      </c>
      <c r="AD22" s="51"/>
    </row>
    <row r="23" spans="1:30" s="20" customFormat="1" ht="18.75" collapsed="1">
      <c r="A23" s="50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AD23" s="51"/>
    </row>
    <row r="24" spans="1:30" s="20" customFormat="1" ht="18.75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AD24" s="51"/>
    </row>
    <row r="25" spans="1:30" s="20" customFormat="1" ht="47.25">
      <c r="A25" s="41" t="s">
        <v>39</v>
      </c>
      <c r="B25" s="12">
        <v>11</v>
      </c>
      <c r="C25" s="12">
        <v>12</v>
      </c>
      <c r="D25" s="12">
        <v>13</v>
      </c>
      <c r="E25" s="12">
        <v>13</v>
      </c>
      <c r="F25" s="12">
        <v>13</v>
      </c>
      <c r="G25" s="12">
        <v>12</v>
      </c>
      <c r="H25" s="45">
        <v>0</v>
      </c>
      <c r="I25" s="45">
        <v>0</v>
      </c>
      <c r="J25" s="44">
        <v>10</v>
      </c>
      <c r="K25" s="44">
        <v>10</v>
      </c>
      <c r="L25" s="44">
        <v>10</v>
      </c>
      <c r="M25" s="44">
        <v>10</v>
      </c>
      <c r="N25" s="44">
        <v>10</v>
      </c>
      <c r="O25" s="44">
        <v>10</v>
      </c>
      <c r="AD25" s="51"/>
    </row>
    <row r="26" spans="1:30" s="20" customFormat="1" ht="18.75" customHeight="1" hidden="1" outlineLevel="1">
      <c r="A26" s="9" t="s">
        <v>7</v>
      </c>
      <c r="B26" s="12"/>
      <c r="C26" s="12"/>
      <c r="D26" s="35"/>
      <c r="E26" s="35"/>
      <c r="F26" s="35"/>
      <c r="G26" s="35"/>
      <c r="H26" s="33"/>
      <c r="I26" s="33"/>
      <c r="J26" s="32"/>
      <c r="K26" s="32"/>
      <c r="L26" s="32"/>
      <c r="M26" s="32"/>
      <c r="N26" s="32"/>
      <c r="O26" s="32"/>
      <c r="AD26" s="51"/>
    </row>
    <row r="27" spans="1:30" s="20" customFormat="1" ht="18.75" customHeight="1" hidden="1" outlineLevel="1">
      <c r="A27" s="9" t="s">
        <v>8</v>
      </c>
      <c r="B27" s="12">
        <v>92</v>
      </c>
      <c r="C27" s="12">
        <v>27</v>
      </c>
      <c r="D27" s="35">
        <v>27</v>
      </c>
      <c r="E27" s="35">
        <v>27</v>
      </c>
      <c r="F27" s="35"/>
      <c r="G27" s="35">
        <v>27</v>
      </c>
      <c r="H27" s="33">
        <v>3912.1</v>
      </c>
      <c r="I27" s="33">
        <f>'[17]прил. 2 2013-2015 (в прик. раб.'!$N$78</f>
        <v>1687.4</v>
      </c>
      <c r="J27" s="32">
        <f>'[17]прил. 2 2013-2015 (в прик. раб.'!$Q$78</f>
        <v>1763.9</v>
      </c>
      <c r="K27" s="32">
        <f>'[17]прил. 2 2013-2015 (в прик. раб.'!$T$78</f>
        <v>1807.6</v>
      </c>
      <c r="L27" s="32"/>
      <c r="M27" s="32"/>
      <c r="N27" s="32"/>
      <c r="O27" s="32">
        <f>K27</f>
        <v>1807.6</v>
      </c>
      <c r="P27" s="20" t="s">
        <v>28</v>
      </c>
      <c r="AD27" s="51"/>
    </row>
    <row r="28" spans="1:30" s="20" customFormat="1" ht="18.75" customHeight="1" hidden="1" outlineLevel="1">
      <c r="A28" s="9" t="s">
        <v>7</v>
      </c>
      <c r="B28" s="12"/>
      <c r="C28" s="12"/>
      <c r="D28" s="35"/>
      <c r="E28" s="35"/>
      <c r="F28" s="35"/>
      <c r="G28" s="35"/>
      <c r="H28" s="33"/>
      <c r="I28" s="33"/>
      <c r="J28" s="32"/>
      <c r="K28" s="32"/>
      <c r="L28" s="32"/>
      <c r="M28" s="32"/>
      <c r="N28" s="32"/>
      <c r="O28" s="32"/>
      <c r="AD28" s="51"/>
    </row>
    <row r="29" spans="1:30" s="20" customFormat="1" ht="18.75" customHeight="1" hidden="1" outlineLevel="1">
      <c r="A29" s="9" t="s">
        <v>8</v>
      </c>
      <c r="B29" s="12">
        <v>5718</v>
      </c>
      <c r="C29" s="35">
        <v>4274</v>
      </c>
      <c r="D29" s="35">
        <v>4274</v>
      </c>
      <c r="E29" s="35">
        <v>4274</v>
      </c>
      <c r="F29" s="35"/>
      <c r="G29" s="35">
        <v>4274</v>
      </c>
      <c r="H29" s="33">
        <v>15336.5</v>
      </c>
      <c r="I29" s="33">
        <f>17212</f>
        <v>17212</v>
      </c>
      <c r="J29" s="32">
        <f>18021+Q29</f>
        <v>20666.8</v>
      </c>
      <c r="K29" s="32">
        <f>18356.8+R29</f>
        <v>21715.699999999997</v>
      </c>
      <c r="L29" s="32"/>
      <c r="M29" s="32"/>
      <c r="N29" s="32"/>
      <c r="O29" s="32">
        <f>K29</f>
        <v>21715.699999999997</v>
      </c>
      <c r="P29" s="20" t="s">
        <v>28</v>
      </c>
      <c r="Q29" s="20">
        <f>2946.4+Q41</f>
        <v>2645.8</v>
      </c>
      <c r="R29" s="20">
        <f>3661.7+R41</f>
        <v>3358.8999999999996</v>
      </c>
      <c r="S29" s="20">
        <f>3661.7+S41</f>
        <v>3358.8999999999996</v>
      </c>
      <c r="AD29" s="51"/>
    </row>
    <row r="30" spans="1:30" ht="42.75" customHeight="1" collapsed="1">
      <c r="A30" s="50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AD30" s="51"/>
    </row>
    <row r="31" spans="1:30" ht="75">
      <c r="A31" s="42" t="s">
        <v>40</v>
      </c>
      <c r="B31" s="8">
        <v>1</v>
      </c>
      <c r="C31" s="8">
        <v>1</v>
      </c>
      <c r="D31" s="8">
        <v>1</v>
      </c>
      <c r="E31" s="8">
        <v>2</v>
      </c>
      <c r="F31" s="8">
        <v>2</v>
      </c>
      <c r="G31" s="8">
        <v>2</v>
      </c>
      <c r="H31" s="44">
        <v>0</v>
      </c>
      <c r="I31" s="46">
        <v>0</v>
      </c>
      <c r="J31" s="46">
        <v>5</v>
      </c>
      <c r="K31" s="46">
        <v>5</v>
      </c>
      <c r="L31" s="44">
        <v>5</v>
      </c>
      <c r="M31" s="44">
        <v>5</v>
      </c>
      <c r="N31" s="44">
        <v>5</v>
      </c>
      <c r="O31" s="44">
        <v>5</v>
      </c>
      <c r="AD31" s="51"/>
    </row>
    <row r="32" spans="1:19" ht="45" hidden="1" outlineLevel="1">
      <c r="A32" s="36" t="s">
        <v>18</v>
      </c>
      <c r="B32" s="37">
        <f>'[18]дома бюджет'!$E$9</f>
        <v>40</v>
      </c>
      <c r="C32" s="9">
        <v>24</v>
      </c>
      <c r="D32" s="9">
        <v>24</v>
      </c>
      <c r="E32" s="9">
        <v>24</v>
      </c>
      <c r="F32" s="9"/>
      <c r="G32" s="8">
        <v>24</v>
      </c>
      <c r="H32" s="23"/>
      <c r="I32" s="13">
        <v>13619.9</v>
      </c>
      <c r="J32" s="13">
        <f>15511.6+4490.5</f>
        <v>20002.1</v>
      </c>
      <c r="K32" s="13">
        <f>15736.5+5575.4</f>
        <v>21311.9</v>
      </c>
      <c r="L32" s="13"/>
      <c r="M32" s="13"/>
      <c r="N32" s="13"/>
      <c r="O32" s="8">
        <f>K32</f>
        <v>21311.9</v>
      </c>
      <c r="P32" s="20"/>
      <c r="Q32" s="20">
        <v>4490.5</v>
      </c>
      <c r="R32" s="20">
        <v>5575.4</v>
      </c>
      <c r="S32" s="20">
        <v>5575.4</v>
      </c>
    </row>
    <row r="33" spans="1:19" ht="30" hidden="1" outlineLevel="1">
      <c r="A33" s="38" t="s">
        <v>19</v>
      </c>
      <c r="B33" s="37">
        <f>'[18]дома бюджет'!$E$8</f>
        <v>200</v>
      </c>
      <c r="C33" s="9">
        <f>143+32</f>
        <v>175</v>
      </c>
      <c r="D33" s="9">
        <f>143+32</f>
        <v>175</v>
      </c>
      <c r="E33" s="9">
        <f>143+32</f>
        <v>175</v>
      </c>
      <c r="F33" s="9"/>
      <c r="G33" s="9">
        <f>143+32</f>
        <v>175</v>
      </c>
      <c r="H33" s="23"/>
      <c r="I33" s="13">
        <v>6534.6</v>
      </c>
      <c r="J33" s="13">
        <f>7372.2+1616.8</f>
        <v>8989</v>
      </c>
      <c r="K33" s="13">
        <f>7360.3+1813.9</f>
        <v>9174.2</v>
      </c>
      <c r="L33" s="13"/>
      <c r="M33" s="13"/>
      <c r="N33" s="13"/>
      <c r="O33" s="8">
        <f>K33</f>
        <v>9174.2</v>
      </c>
      <c r="P33" s="20"/>
      <c r="Q33" s="20">
        <v>1616.8</v>
      </c>
      <c r="R33" s="20">
        <v>1813.9</v>
      </c>
      <c r="S33" s="20">
        <v>1813.9</v>
      </c>
    </row>
    <row r="34" spans="1:15" ht="45" hidden="1" outlineLevel="1">
      <c r="A34" s="36" t="s">
        <v>20</v>
      </c>
      <c r="B34" s="8">
        <v>7</v>
      </c>
      <c r="C34" s="9">
        <v>3</v>
      </c>
      <c r="D34" s="9">
        <v>3</v>
      </c>
      <c r="E34" s="9">
        <v>3</v>
      </c>
      <c r="F34" s="9"/>
      <c r="G34" s="9">
        <v>3</v>
      </c>
      <c r="H34" s="23"/>
      <c r="I34" s="13">
        <v>149.7</v>
      </c>
      <c r="J34" s="13">
        <v>148.7</v>
      </c>
      <c r="K34" s="13">
        <v>192.1</v>
      </c>
      <c r="L34" s="13"/>
      <c r="M34" s="13"/>
      <c r="N34" s="13"/>
      <c r="O34" s="8">
        <f>K34</f>
        <v>192.1</v>
      </c>
    </row>
    <row r="35" spans="1:23" ht="45" hidden="1" outlineLevel="1">
      <c r="A35" s="36" t="s">
        <v>21</v>
      </c>
      <c r="B35" s="8">
        <v>50</v>
      </c>
      <c r="C35" s="9">
        <v>51</v>
      </c>
      <c r="D35" s="9">
        <v>42</v>
      </c>
      <c r="E35" s="9">
        <v>43</v>
      </c>
      <c r="F35" s="9"/>
      <c r="G35" s="8">
        <v>43</v>
      </c>
      <c r="H35" s="23">
        <v>121452</v>
      </c>
      <c r="I35" s="13">
        <v>66545.8</v>
      </c>
      <c r="J35" s="13">
        <f>106758.5-3758.1+6088.3</f>
        <v>109088.7</v>
      </c>
      <c r="K35" s="13">
        <f>99805.4-4060.3-41343</f>
        <v>54402.09999999999</v>
      </c>
      <c r="L35" s="13"/>
      <c r="M35" s="13"/>
      <c r="N35" s="13"/>
      <c r="O35" s="8">
        <f>99805.4-4684.2+7684.9</f>
        <v>102806.09999999999</v>
      </c>
      <c r="P35" s="20"/>
      <c r="Q35" s="20">
        <v>-3758.1</v>
      </c>
      <c r="R35" s="20">
        <v>-4060.3</v>
      </c>
      <c r="S35" s="20">
        <v>-4684.2</v>
      </c>
      <c r="T35" s="20">
        <v>6088.3</v>
      </c>
      <c r="U35" s="20">
        <v>-41342.6</v>
      </c>
      <c r="V35" s="20">
        <v>7684.9</v>
      </c>
      <c r="W35" s="20"/>
    </row>
    <row r="36" spans="1:19" ht="45" hidden="1" outlineLevel="1">
      <c r="A36" s="36" t="s">
        <v>22</v>
      </c>
      <c r="B36" s="37">
        <f>'[18]дома бюджет'!$E$7</f>
        <v>53</v>
      </c>
      <c r="C36" s="9">
        <v>51</v>
      </c>
      <c r="D36" s="9">
        <v>51</v>
      </c>
      <c r="E36" s="9">
        <v>51</v>
      </c>
      <c r="F36" s="9"/>
      <c r="G36" s="8">
        <v>51</v>
      </c>
      <c r="H36" s="23">
        <v>38641.8</v>
      </c>
      <c r="I36" s="13">
        <v>32244.3</v>
      </c>
      <c r="J36" s="13">
        <f>32337.5-1379.2</f>
        <v>30958.3</v>
      </c>
      <c r="K36" s="13">
        <f>31818.2-1379.2</f>
        <v>30439</v>
      </c>
      <c r="L36" s="13"/>
      <c r="M36" s="13"/>
      <c r="N36" s="13"/>
      <c r="O36" s="8">
        <f>K36</f>
        <v>30439</v>
      </c>
      <c r="P36" s="20"/>
      <c r="Q36" s="20">
        <v>-1379.2</v>
      </c>
      <c r="R36" s="20">
        <v>-1379.2</v>
      </c>
      <c r="S36" s="20">
        <v>-1379.2</v>
      </c>
    </row>
    <row r="37" spans="1:15" ht="60" hidden="1" outlineLevel="1">
      <c r="A37" s="36" t="s">
        <v>23</v>
      </c>
      <c r="B37" s="8">
        <v>1</v>
      </c>
      <c r="C37" s="9">
        <v>1</v>
      </c>
      <c r="D37" s="9"/>
      <c r="E37" s="9"/>
      <c r="F37" s="9"/>
      <c r="G37" s="8"/>
      <c r="H37" s="8">
        <v>2042.6</v>
      </c>
      <c r="I37" s="13">
        <v>2369.6</v>
      </c>
      <c r="J37" s="13"/>
      <c r="K37" s="13"/>
      <c r="L37" s="13"/>
      <c r="M37" s="13"/>
      <c r="N37" s="13"/>
      <c r="O37" s="8"/>
    </row>
    <row r="38" spans="1:15" ht="30" hidden="1" outlineLevel="1">
      <c r="A38" s="36" t="s">
        <v>29</v>
      </c>
      <c r="B38" s="8"/>
      <c r="C38" s="9"/>
      <c r="D38" s="9">
        <v>1</v>
      </c>
      <c r="E38" s="9">
        <v>1</v>
      </c>
      <c r="F38" s="9"/>
      <c r="G38" s="9">
        <v>1</v>
      </c>
      <c r="H38" s="8"/>
      <c r="I38" s="13"/>
      <c r="J38" s="28">
        <v>2309</v>
      </c>
      <c r="K38" s="28">
        <v>2472.9</v>
      </c>
      <c r="L38" s="28"/>
      <c r="M38" s="28"/>
      <c r="N38" s="28"/>
      <c r="O38" s="27">
        <v>2472.9</v>
      </c>
    </row>
    <row r="39" spans="1:19" ht="45" hidden="1" outlineLevel="1">
      <c r="A39" s="36" t="s">
        <v>24</v>
      </c>
      <c r="B39" s="8">
        <v>2</v>
      </c>
      <c r="C39" s="9">
        <v>1</v>
      </c>
      <c r="D39" s="9">
        <v>2</v>
      </c>
      <c r="E39" s="9">
        <v>2</v>
      </c>
      <c r="F39" s="9"/>
      <c r="G39" s="8">
        <v>2</v>
      </c>
      <c r="H39" s="8"/>
      <c r="I39" s="13">
        <v>7390.9</v>
      </c>
      <c r="J39" s="13">
        <f>12979.8-736.6</f>
        <v>12243.199999999999</v>
      </c>
      <c r="K39" s="13">
        <f>13719.4-774.5</f>
        <v>12944.9</v>
      </c>
      <c r="L39" s="13"/>
      <c r="M39" s="13"/>
      <c r="N39" s="13"/>
      <c r="O39" s="8">
        <f>K39</f>
        <v>12944.9</v>
      </c>
      <c r="Q39" s="20">
        <v>-736.6</v>
      </c>
      <c r="R39" s="20">
        <v>-774.5</v>
      </c>
      <c r="S39" s="20">
        <v>-774.5</v>
      </c>
    </row>
    <row r="40" spans="1:19" ht="45" hidden="1" outlineLevel="1">
      <c r="A40" s="36" t="s">
        <v>25</v>
      </c>
      <c r="B40" s="8">
        <v>1</v>
      </c>
      <c r="C40" s="8">
        <v>1</v>
      </c>
      <c r="D40" s="8">
        <v>1</v>
      </c>
      <c r="E40" s="8">
        <v>1</v>
      </c>
      <c r="F40" s="8"/>
      <c r="G40" s="8">
        <v>1</v>
      </c>
      <c r="H40" s="8">
        <v>477.3</v>
      </c>
      <c r="I40" s="13">
        <v>644.7</v>
      </c>
      <c r="J40" s="13">
        <f>644.7-25.7</f>
        <v>619</v>
      </c>
      <c r="K40" s="13">
        <f>555.1-27.8</f>
        <v>527.3000000000001</v>
      </c>
      <c r="L40" s="13"/>
      <c r="M40" s="13"/>
      <c r="N40" s="13"/>
      <c r="O40" s="8">
        <f>K40</f>
        <v>527.3000000000001</v>
      </c>
      <c r="P40" s="20"/>
      <c r="Q40" s="20">
        <v>-25.7</v>
      </c>
      <c r="R40" s="20">
        <v>-27.8</v>
      </c>
      <c r="S40" s="20">
        <v>-27.8</v>
      </c>
    </row>
    <row r="41" spans="1:19" s="20" customFormat="1" ht="30" hidden="1" outlineLevel="1">
      <c r="A41" s="36" t="s">
        <v>26</v>
      </c>
      <c r="B41" s="8">
        <v>2</v>
      </c>
      <c r="C41" s="9">
        <v>2</v>
      </c>
      <c r="D41" s="9">
        <v>2</v>
      </c>
      <c r="E41" s="9">
        <v>2</v>
      </c>
      <c r="F41" s="9"/>
      <c r="G41" s="8">
        <v>2</v>
      </c>
      <c r="H41" s="8">
        <v>6000</v>
      </c>
      <c r="I41" s="13">
        <v>4777.4</v>
      </c>
      <c r="J41" s="13">
        <f>6085.6-300.6</f>
        <v>5785</v>
      </c>
      <c r="K41" s="13">
        <f>6034.2-302.8</f>
        <v>5731.4</v>
      </c>
      <c r="L41" s="13"/>
      <c r="M41" s="13"/>
      <c r="N41" s="13"/>
      <c r="O41" s="8">
        <f>K41</f>
        <v>5731.4</v>
      </c>
      <c r="Q41" s="20">
        <v>-300.6</v>
      </c>
      <c r="R41" s="20">
        <v>-302.8</v>
      </c>
      <c r="S41" s="20">
        <v>-302.8</v>
      </c>
    </row>
    <row r="42" spans="1:15" ht="18.75" hidden="1" outlineLevel="1">
      <c r="A42" s="4"/>
      <c r="B42" s="14"/>
      <c r="C42" s="14"/>
      <c r="D42" s="14"/>
      <c r="E42" s="14"/>
      <c r="F42" s="14"/>
      <c r="G42" s="14"/>
      <c r="H42" s="14"/>
      <c r="I42" s="19" t="e">
        <f>#REF!+#REF!+#REF!+#REF!+I31+#REF!+I29+I27+#REF!+#REF!+#REF!+#REF!+#REF!</f>
        <v>#REF!</v>
      </c>
      <c r="J42" s="19" t="e">
        <f>#REF!+#REF!+#REF!+#REF!+J31+#REF!+J29+J27+#REF!+#REF!+#REF!+#REF!+#REF!</f>
        <v>#REF!</v>
      </c>
      <c r="K42" s="19" t="e">
        <f>#REF!+#REF!+#REF!+#REF!+K31+#REF!+K29+K27+#REF!+#REF!+#REF!+#REF!+#REF!</f>
        <v>#REF!</v>
      </c>
      <c r="L42" s="19"/>
      <c r="M42" s="19"/>
      <c r="N42" s="19"/>
      <c r="O42" s="19" t="e">
        <f>#REF!+#REF!+#REF!+#REF!+O31+#REF!+O29+O27+#REF!+#REF!+#REF!+#REF!+#REF!</f>
        <v>#REF!</v>
      </c>
    </row>
    <row r="43" spans="1:15" ht="18.75" hidden="1" outlineLevel="1">
      <c r="A43" s="4"/>
      <c r="B43" s="14"/>
      <c r="C43" s="14"/>
      <c r="D43" s="14"/>
      <c r="E43" s="14"/>
      <c r="F43" s="14"/>
      <c r="G43" s="14"/>
      <c r="H43" s="14"/>
      <c r="I43" s="18"/>
      <c r="J43" s="17"/>
      <c r="K43" s="17"/>
      <c r="L43" s="17"/>
      <c r="M43" s="17"/>
      <c r="N43" s="17"/>
      <c r="O43" s="17"/>
    </row>
    <row r="44" spans="1:15" ht="18.75" hidden="1" outlineLevel="1">
      <c r="A44" s="4"/>
      <c r="B44" s="14"/>
      <c r="C44" s="14"/>
      <c r="D44" s="14"/>
      <c r="E44" s="14"/>
      <c r="F44" s="14"/>
      <c r="G44" s="14"/>
      <c r="H44" s="14"/>
      <c r="I44" s="19">
        <f>'[17]прил. 2 2013-2015 (в прик. раб.'!$N$81</f>
        <v>343578.5</v>
      </c>
      <c r="J44" s="19">
        <f>'[17]прил. 2 2013-2015 (в прик. раб.'!$Q$81</f>
        <v>403331.4</v>
      </c>
      <c r="K44" s="19">
        <f>'[17]прил. 2 2013-2015 (в прик. раб.'!$T$81</f>
        <v>401734.5</v>
      </c>
      <c r="L44" s="19"/>
      <c r="M44" s="19"/>
      <c r="N44" s="19"/>
      <c r="O44" s="17"/>
    </row>
    <row r="45" spans="1:15" ht="18.75" hidden="1" outlineLevel="1">
      <c r="A45" s="4"/>
      <c r="B45" s="14"/>
      <c r="C45" s="14"/>
      <c r="D45" s="14"/>
      <c r="E45" s="14"/>
      <c r="F45" s="14"/>
      <c r="G45" s="14"/>
      <c r="H45" s="14"/>
      <c r="I45" s="18"/>
      <c r="J45" s="17"/>
      <c r="K45" s="17"/>
      <c r="L45" s="17"/>
      <c r="M45" s="17"/>
      <c r="N45" s="17"/>
      <c r="O45" s="17"/>
    </row>
    <row r="46" spans="1:15" ht="18.75" hidden="1" outlineLevel="1">
      <c r="A46" s="4"/>
      <c r="B46" s="19">
        <f aca="true" t="shared" si="0" ref="B46:H46">B44-B42</f>
        <v>0</v>
      </c>
      <c r="C46" s="19">
        <f t="shared" si="0"/>
        <v>0</v>
      </c>
      <c r="D46" s="19">
        <f t="shared" si="0"/>
        <v>0</v>
      </c>
      <c r="E46" s="19">
        <f t="shared" si="0"/>
        <v>0</v>
      </c>
      <c r="F46" s="19"/>
      <c r="G46" s="19">
        <f t="shared" si="0"/>
        <v>0</v>
      </c>
      <c r="H46" s="19">
        <f t="shared" si="0"/>
        <v>0</v>
      </c>
      <c r="I46" s="19" t="e">
        <f>I44-I42</f>
        <v>#REF!</v>
      </c>
      <c r="J46" s="19" t="e">
        <f>J44-J42</f>
        <v>#REF!</v>
      </c>
      <c r="K46" s="19" t="e">
        <f>K44-K42</f>
        <v>#REF!</v>
      </c>
      <c r="L46" s="19"/>
      <c r="M46" s="19"/>
      <c r="N46" s="19"/>
      <c r="O46" s="19" t="e">
        <f>O44-O42</f>
        <v>#REF!</v>
      </c>
    </row>
    <row r="47" spans="1:15" ht="18.75" hidden="1" outlineLevel="1">
      <c r="A47" s="4"/>
      <c r="B47" s="14"/>
      <c r="C47" s="14"/>
      <c r="D47" s="14"/>
      <c r="E47" s="14"/>
      <c r="F47" s="14"/>
      <c r="G47" s="14"/>
      <c r="H47" s="14"/>
      <c r="I47" s="18"/>
      <c r="J47" s="17"/>
      <c r="K47" s="17"/>
      <c r="L47" s="17"/>
      <c r="M47" s="17"/>
      <c r="N47" s="17"/>
      <c r="O47" s="17"/>
    </row>
    <row r="48" spans="1:15" ht="18.75" hidden="1" outlineLevel="1">
      <c r="A48" s="15"/>
      <c r="B48" s="14"/>
      <c r="C48" s="15"/>
      <c r="D48" s="15"/>
      <c r="E48" s="15"/>
      <c r="F48" s="15"/>
      <c r="G48" s="14"/>
      <c r="H48" s="14"/>
      <c r="I48" s="16"/>
      <c r="J48" s="16"/>
      <c r="K48" s="16"/>
      <c r="L48" s="16"/>
      <c r="M48" s="16"/>
      <c r="N48" s="16"/>
      <c r="O48" s="16"/>
    </row>
    <row r="49" spans="1:16" ht="18.75" hidden="1" outlineLevel="1">
      <c r="A49" s="15"/>
      <c r="B49" s="14"/>
      <c r="C49" s="15"/>
      <c r="D49" s="15"/>
      <c r="E49" s="15"/>
      <c r="F49" s="15"/>
      <c r="G49" s="14"/>
      <c r="H49" s="14"/>
      <c r="I49" s="14"/>
      <c r="J49" s="16">
        <f>'[13]всего'!E41+'[13]всего'!E10</f>
        <v>2391363.4000000004</v>
      </c>
      <c r="K49" s="16">
        <f>'[13]всего'!F41+'[13]всего'!F10</f>
        <v>2434229.5</v>
      </c>
      <c r="L49" s="16"/>
      <c r="M49" s="16"/>
      <c r="N49" s="16"/>
      <c r="O49" s="16">
        <f>'[13]всего'!G41+'[13]всего'!G10</f>
        <v>2478976.3999999994</v>
      </c>
      <c r="P49" s="16"/>
    </row>
    <row r="50" spans="1:15" ht="18.75" hidden="1" outlineLevel="1">
      <c r="A50" s="15"/>
      <c r="B50" s="14"/>
      <c r="C50" s="15"/>
      <c r="D50" s="15"/>
      <c r="E50" s="15"/>
      <c r="F50" s="15"/>
      <c r="G50" s="14"/>
      <c r="H50" s="14"/>
      <c r="I50" s="16"/>
      <c r="J50" s="16"/>
      <c r="K50" s="16"/>
      <c r="L50" s="16"/>
      <c r="M50" s="16"/>
      <c r="N50" s="16"/>
      <c r="O50" s="16"/>
    </row>
    <row r="51" spans="1:15" ht="18.75" hidden="1" outlineLevel="1">
      <c r="A51" s="15"/>
      <c r="B51" s="14"/>
      <c r="C51" s="15"/>
      <c r="D51" s="15"/>
      <c r="E51" s="15"/>
      <c r="F51" s="15"/>
      <c r="G51" s="14"/>
      <c r="H51" s="14"/>
      <c r="I51" s="16"/>
      <c r="J51" s="24" t="e">
        <f>J49-J42-#REF!</f>
        <v>#REF!</v>
      </c>
      <c r="K51" s="24" t="e">
        <f>K49-K42-#REF!</f>
        <v>#REF!</v>
      </c>
      <c r="L51" s="24"/>
      <c r="M51" s="24"/>
      <c r="N51" s="24"/>
      <c r="O51" s="24" t="e">
        <f>O49-O42-#REF!</f>
        <v>#REF!</v>
      </c>
    </row>
    <row r="52" spans="1:15" ht="18.75" hidden="1" outlineLevel="1">
      <c r="A52" s="15"/>
      <c r="B52" s="14"/>
      <c r="C52" s="15"/>
      <c r="D52" s="15"/>
      <c r="E52" s="15"/>
      <c r="F52" s="15"/>
      <c r="G52" s="14"/>
      <c r="H52" s="14"/>
      <c r="I52" s="16"/>
      <c r="J52" s="16"/>
      <c r="K52" s="16"/>
      <c r="L52" s="16"/>
      <c r="M52" s="16"/>
      <c r="N52" s="16"/>
      <c r="O52" s="16"/>
    </row>
    <row r="53" spans="1:15" ht="18.75" hidden="1" outlineLevel="1">
      <c r="A53" s="15"/>
      <c r="B53" s="14"/>
      <c r="C53" s="15"/>
      <c r="D53" s="15"/>
      <c r="E53" s="15"/>
      <c r="F53" s="15"/>
      <c r="G53" s="14"/>
      <c r="H53" s="14"/>
      <c r="I53" s="16"/>
      <c r="J53" s="24">
        <v>27238.55222</v>
      </c>
      <c r="K53" s="24">
        <v>30476.295619999994</v>
      </c>
      <c r="L53" s="24"/>
      <c r="M53" s="24"/>
      <c r="N53" s="24"/>
      <c r="O53" s="24">
        <v>33044.332800000004</v>
      </c>
    </row>
    <row r="54" spans="1:15" ht="18.75" hidden="1" outlineLevel="1">
      <c r="A54" s="15"/>
      <c r="B54" s="14"/>
      <c r="C54" s="15"/>
      <c r="D54" s="15"/>
      <c r="E54" s="15"/>
      <c r="F54" s="15"/>
      <c r="G54" s="14"/>
      <c r="H54" s="14"/>
      <c r="I54" s="16"/>
      <c r="J54" s="16"/>
      <c r="K54" s="16"/>
      <c r="L54" s="16"/>
      <c r="M54" s="16"/>
      <c r="N54" s="16"/>
      <c r="O54" s="16"/>
    </row>
    <row r="55" spans="1:15" ht="18.75" hidden="1" collapsed="1">
      <c r="A55" s="15"/>
      <c r="B55" s="14"/>
      <c r="C55" s="15"/>
      <c r="D55" s="15"/>
      <c r="E55" s="15"/>
      <c r="F55" s="15"/>
      <c r="G55" s="14"/>
      <c r="H55" s="14"/>
      <c r="I55" s="16"/>
      <c r="J55" s="16"/>
      <c r="K55" s="16"/>
      <c r="L55" s="16"/>
      <c r="M55" s="16"/>
      <c r="N55" s="16"/>
      <c r="O55" s="16"/>
    </row>
    <row r="56" spans="1:15" ht="18.75" hidden="1">
      <c r="A56" s="15"/>
      <c r="B56" s="14"/>
      <c r="C56" s="15"/>
      <c r="D56" s="15"/>
      <c r="E56" s="15"/>
      <c r="F56" s="15"/>
      <c r="G56" s="14"/>
      <c r="H56" s="14"/>
      <c r="I56" s="16"/>
      <c r="J56" s="16"/>
      <c r="K56" s="16"/>
      <c r="L56" s="16"/>
      <c r="M56" s="16"/>
      <c r="N56" s="16"/>
      <c r="O56" s="16"/>
    </row>
    <row r="57" spans="1:15" s="1" customFormat="1" ht="15.75" customHeight="1" hidden="1">
      <c r="A57" s="48" t="s">
        <v>17</v>
      </c>
      <c r="B57" s="48"/>
      <c r="C57" s="48"/>
      <c r="D57" s="48"/>
      <c r="E57" s="3"/>
      <c r="F57" s="3"/>
      <c r="O57" s="1" t="s">
        <v>16</v>
      </c>
    </row>
    <row r="58" ht="18.75" hidden="1"/>
    <row r="60" spans="9:15" ht="18.75" hidden="1">
      <c r="I60" s="25" t="e">
        <f>#REF!+#REF!+#REF!+#REF!+#REF!+I31+#REF!+#REF!+I25+#REF!+#REF!+#REF!+#REF!+#REF!+#REF!+I16+#REF!+#REF!+#REF!</f>
        <v>#REF!</v>
      </c>
      <c r="J60" s="25" t="e">
        <f>#REF!+#REF!+#REF!+#REF!+#REF!+J31+#REF!+#REF!+J25+#REF!+#REF!+#REF!+#REF!+#REF!+#REF!+J16+#REF!+#REF!+#REF!</f>
        <v>#REF!</v>
      </c>
      <c r="K60" s="25" t="e">
        <f>#REF!+#REF!+#REF!+#REF!+#REF!+K31+#REF!+#REF!+K25+#REF!+#REF!+#REF!+#REF!+#REF!+#REF!+K16+#REF!+#REF!+#REF!</f>
        <v>#REF!</v>
      </c>
      <c r="L60" s="25"/>
      <c r="M60" s="25"/>
      <c r="N60" s="25"/>
      <c r="O60" s="25" t="e">
        <f>#REF!+#REF!+#REF!+#REF!+#REF!+O31+#REF!+#REF!+O25+#REF!+#REF!+#REF!+#REF!+#REF!+#REF!+O16+#REF!+#REF!+#REF!</f>
        <v>#REF!</v>
      </c>
    </row>
    <row r="61" spans="9:15" ht="18.75" hidden="1">
      <c r="I61" s="25">
        <f>'[19]изм.росписи (для отправки в МФ)'!$F$8+'[19]изм.росписи (для отправки в МФ)'!$F$15+'[19]изм.росписи (для отправки в МФ)'!$F$23+'[19]изм.росписи (для отправки в МФ)'!$F$25+'[19]изм.росписи (для отправки в МФ)'!$F$27+'[19]изм.росписи (для отправки в МФ)'!$F$29+'[19]изм.росписи (для отправки в МФ)'!$F$32+'[19]изм.росписи (для отправки в МФ)'!$F$32+'[19]изм.росписи (для отправки в МФ)'!$F$35+'[19]изм.росписи (для отправки в МФ)'!$F$60</f>
        <v>2300082.3000000003</v>
      </c>
      <c r="J61" s="6">
        <f>'[13]всего'!E11+'[13]всего'!E18+'[13]всего'!E25+'[13]всего'!E31+'[13]всего'!E35+'[13]всего'!E42+'[13]всего'!E44+'[13]всего'!E47+'[13]всего'!E49</f>
        <v>2391363.4000000004</v>
      </c>
      <c r="K61" s="6">
        <f>'[13]всего'!F11+'[13]всего'!F18+'[13]всего'!F25+'[13]всего'!F31+'[13]всего'!F35+'[13]всего'!F42+'[13]всего'!F44+'[13]всего'!F47+'[13]всего'!F49</f>
        <v>2434229.5</v>
      </c>
      <c r="O61" s="6">
        <f>'[13]всего'!G11+'[13]всего'!G18+'[13]всего'!G25+'[13]всего'!G31+'[13]всего'!G35+'[13]всего'!G42+'[13]всего'!G44+'[13]всего'!G47+'[13]всего'!G49</f>
        <v>2478976.4</v>
      </c>
    </row>
    <row r="62" spans="9:15" ht="18.75" hidden="1">
      <c r="I62" s="25" t="e">
        <f>I61-I60</f>
        <v>#REF!</v>
      </c>
      <c r="J62" s="25" t="e">
        <f>J61-J60</f>
        <v>#REF!</v>
      </c>
      <c r="K62" s="25" t="e">
        <f>K61-K60</f>
        <v>#REF!</v>
      </c>
      <c r="L62" s="25"/>
      <c r="M62" s="25"/>
      <c r="N62" s="25"/>
      <c r="O62" s="25" t="e">
        <f>O61-O60</f>
        <v>#REF!</v>
      </c>
    </row>
    <row r="63" ht="18.75" hidden="1">
      <c r="J63" s="25"/>
    </row>
    <row r="64" spans="1:15" ht="18.75">
      <c r="A64" s="40" t="s">
        <v>41</v>
      </c>
      <c r="H64" s="43" t="e">
        <f>H31+H25+H16+#REF!</f>
        <v>#REF!</v>
      </c>
      <c r="I64" s="43" t="e">
        <f>I31+I25+I16+#REF!</f>
        <v>#REF!</v>
      </c>
      <c r="J64" s="43" t="e">
        <f>J31+J25+J16+#REF!</f>
        <v>#REF!</v>
      </c>
      <c r="K64" s="43" t="e">
        <f>K31+K25+K16+#REF!</f>
        <v>#REF!</v>
      </c>
      <c r="L64" s="43"/>
      <c r="M64" s="43"/>
      <c r="N64" s="43"/>
      <c r="O64" s="43" t="e">
        <f>O31+O25+O16+#REF!</f>
        <v>#REF!</v>
      </c>
    </row>
  </sheetData>
  <sheetProtection/>
  <mergeCells count="11">
    <mergeCell ref="AD13:AD31"/>
    <mergeCell ref="A15:O15"/>
    <mergeCell ref="G1:K1"/>
    <mergeCell ref="A2:O2"/>
    <mergeCell ref="A4:A5"/>
    <mergeCell ref="B4:G4"/>
    <mergeCell ref="H4:O4"/>
    <mergeCell ref="A57:D57"/>
    <mergeCell ref="A24:O24"/>
    <mergeCell ref="A23:O23"/>
    <mergeCell ref="A30:O30"/>
  </mergeCells>
  <printOptions horizontalCentered="1"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2013-10-24T09:41:38Z</cp:lastPrinted>
  <dcterms:created xsi:type="dcterms:W3CDTF">2013-07-29T03:10:57Z</dcterms:created>
  <dcterms:modified xsi:type="dcterms:W3CDTF">2016-11-10T02:56:03Z</dcterms:modified>
  <cp:category/>
  <cp:version/>
  <cp:contentType/>
  <cp:contentStatus/>
</cp:coreProperties>
</file>